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T:\ok\iso\administrasjon\Eksamen og oppfølging av emner, oblig oppgave\Sensorveiledninger (2008-d.d)\2023 - høst\"/>
    </mc:Choice>
  </mc:AlternateContent>
  <xr:revisionPtr revIDLastSave="0" documentId="8_{D94B5808-0F1F-45D1-BAA3-9E5024B851EC}" xr6:coauthVersionLast="47" xr6:coauthVersionMax="47" xr10:uidLastSave="{00000000-0000-0000-0000-000000000000}"/>
  <bookViews>
    <workbookView xWindow="-120" yWindow="-120" windowWidth="29040" windowHeight="17640" activeTab="2" xr2:uid="{CBBD880F-3180-4DDB-8724-057147DD1455}"/>
  </bookViews>
  <sheets>
    <sheet name="b_c_e" sheetId="1" r:id="rId1"/>
    <sheet name="d" sheetId="2" r:id="rId2"/>
    <sheet name="f" sheetId="3" r:id="rId3"/>
  </sheets>
  <definedNames>
    <definedName name="d">b_c_e!$B$3</definedName>
    <definedName name="gamma">b_c_e!$B$6</definedName>
    <definedName name="pr">b_c_e!$B$5</definedName>
    <definedName name="RR">b_c_e!$B$4</definedName>
    <definedName name="solver_adj" localSheetId="0" hidden="1">b_c_e!$B$4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b_c_e!$E$2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0.5</definedName>
    <definedName name="solver_ver" localSheetId="0" hidden="1">3</definedName>
    <definedName name="u">b_c_e!$B$2</definedName>
    <definedName name="W">b_c_e!$B$7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3" l="1"/>
  <c r="I5" i="3"/>
  <c r="H5" i="3"/>
  <c r="J7" i="3"/>
  <c r="I7" i="3"/>
  <c r="H7" i="3"/>
  <c r="B16" i="3"/>
  <c r="B7" i="2"/>
  <c r="B4" i="2"/>
  <c r="E3" i="2"/>
  <c r="E8" i="2" s="1"/>
  <c r="F25" i="1"/>
  <c r="G25" i="1" s="1"/>
  <c r="K25" i="1" s="1"/>
  <c r="N25" i="1" s="1"/>
  <c r="F18" i="1"/>
  <c r="R8" i="1" s="1"/>
  <c r="B3" i="1"/>
  <c r="F20" i="1" s="1"/>
  <c r="I8" i="3" l="1"/>
  <c r="F8" i="3" s="1"/>
  <c r="F10" i="2"/>
  <c r="F5" i="2"/>
  <c r="E9" i="2"/>
  <c r="E2" i="1"/>
  <c r="F5" i="1" s="1"/>
  <c r="R9" i="1"/>
  <c r="R10" i="1" s="1"/>
  <c r="G19" i="1"/>
  <c r="H19" i="1" s="1"/>
  <c r="J19" i="1" s="1"/>
  <c r="S9" i="1"/>
  <c r="G21" i="1"/>
  <c r="H21" i="1" s="1"/>
  <c r="J21" i="1" s="1"/>
  <c r="S8" i="1"/>
  <c r="G17" i="1"/>
  <c r="H17" i="1" s="1"/>
  <c r="J17" i="1" s="1"/>
  <c r="H8" i="3" l="1"/>
  <c r="E9" i="3" s="1"/>
  <c r="H9" i="3" s="1"/>
  <c r="F9" i="3" s="1"/>
  <c r="I11" i="3"/>
  <c r="J8" i="3"/>
  <c r="E10" i="3" s="1"/>
  <c r="J10" i="3" s="1"/>
  <c r="J11" i="3" s="1"/>
  <c r="G13" i="2"/>
  <c r="G9" i="2"/>
  <c r="F11" i="2"/>
  <c r="F6" i="2"/>
  <c r="G6" i="2"/>
  <c r="G2" i="2"/>
  <c r="F4" i="1"/>
  <c r="F6" i="1" s="1"/>
  <c r="F10" i="1"/>
  <c r="S10" i="1"/>
  <c r="K22" i="1"/>
  <c r="N22" i="1" s="1"/>
  <c r="F10" i="3" l="1"/>
  <c r="F11" i="3" s="1"/>
  <c r="H11" i="3"/>
  <c r="G4" i="2"/>
  <c r="I4" i="2" s="1"/>
  <c r="J4" i="2" s="1"/>
  <c r="G3" i="2"/>
  <c r="G7" i="2"/>
  <c r="G8" i="2" s="1"/>
  <c r="G10" i="2"/>
  <c r="G11" i="2" s="1"/>
  <c r="I11" i="2" s="1"/>
  <c r="J11" i="2" s="1"/>
  <c r="G14" i="2"/>
  <c r="F12" i="2"/>
  <c r="G15" i="2"/>
  <c r="I15" i="2" s="1"/>
  <c r="J15" i="2" s="1"/>
  <c r="F7" i="2"/>
  <c r="F9" i="1"/>
  <c r="F11" i="1" s="1"/>
  <c r="G10" i="1" s="1"/>
  <c r="G4" i="1"/>
  <c r="G5" i="1"/>
  <c r="T8" i="1"/>
  <c r="T9" i="1"/>
  <c r="J16" i="2" l="1"/>
  <c r="M16" i="2" s="1"/>
  <c r="G9" i="1"/>
  <c r="G11" i="1" s="1"/>
  <c r="H1" i="1"/>
  <c r="H5" i="1"/>
  <c r="G6" i="1"/>
  <c r="T10" i="1"/>
  <c r="T12" i="1" s="1"/>
  <c r="H13" i="1"/>
  <c r="H9" i="1"/>
  <c r="H2" i="1"/>
  <c r="H6" i="1"/>
  <c r="H12" i="1" l="1"/>
  <c r="H14" i="1" s="1"/>
  <c r="J14" i="1" s="1"/>
  <c r="K14" i="1" s="1"/>
  <c r="H8" i="1"/>
  <c r="H10" i="1" s="1"/>
  <c r="J10" i="1" s="1"/>
  <c r="K10" i="1" s="1"/>
  <c r="H7" i="1"/>
  <c r="H3" i="1"/>
  <c r="J3" i="1" s="1"/>
  <c r="K3" i="1" s="1"/>
  <c r="K15" i="1" l="1"/>
  <c r="N15" i="1" s="1"/>
</calcChain>
</file>

<file path=xl/sharedStrings.xml><?xml version="1.0" encoding="utf-8"?>
<sst xmlns="http://schemas.openxmlformats.org/spreadsheetml/2006/main" count="50" uniqueCount="35">
  <si>
    <t>Utility</t>
  </si>
  <si>
    <t>Expexted</t>
  </si>
  <si>
    <t>=(RR*(((1-pr)*(RR-d))^(-1/gamma)-(pr*(u-RR))^(-1/gamma)))/((u-RR)*(pr*(u-RR))^(-1/gamma)+(RR-d)*((1-pr)*(RR-d))^(-1/gamma))</t>
  </si>
  <si>
    <t>u</t>
  </si>
  <si>
    <t>w=</t>
  </si>
  <si>
    <t>utility</t>
  </si>
  <si>
    <t>d</t>
  </si>
  <si>
    <t>R</t>
  </si>
  <si>
    <t>p</t>
  </si>
  <si>
    <t>gamma</t>
  </si>
  <si>
    <t>W_0</t>
  </si>
  <si>
    <t>Equity</t>
  </si>
  <si>
    <t>Expect</t>
  </si>
  <si>
    <t>variance</t>
  </si>
  <si>
    <t>Bonds</t>
  </si>
  <si>
    <t>W_Merton</t>
  </si>
  <si>
    <t>CE</t>
  </si>
  <si>
    <t>Time 0</t>
  </si>
  <si>
    <t>Time 2</t>
  </si>
  <si>
    <t>Suu=400</t>
  </si>
  <si>
    <t>Sud=100</t>
  </si>
  <si>
    <t>Sdd=25</t>
  </si>
  <si>
    <t>Rebalanced Strategy</t>
  </si>
  <si>
    <t>Buy and hold strategy</t>
  </si>
  <si>
    <t>Bond</t>
  </si>
  <si>
    <t>Call (X=Wuu-(Wuu(buy and hold)+bond-Wuu))</t>
  </si>
  <si>
    <t>Put (X=2Wdd(buy and hold)+bond-Wdd</t>
  </si>
  <si>
    <t>Portfolio</t>
  </si>
  <si>
    <t>Risk neutral probability</t>
  </si>
  <si>
    <t>b)</t>
  </si>
  <si>
    <t>c)</t>
  </si>
  <si>
    <t>d)</t>
  </si>
  <si>
    <t>w=0</t>
  </si>
  <si>
    <t>w=1</t>
  </si>
  <si>
    <t>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</si>
</sst>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quotePrefix="1"/>
    <xf numFmtId="0" fontId="1" fillId="0" borderId="0" xfId="0" applyFont="1"/>
    <xf numFmtId="164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D9C8D-CAD5-4B05-86FA-D66C000E57CA}">
  <dimension ref="A1:T25"/>
  <sheetViews>
    <sheetView workbookViewId="0">
      <selection activeCell="A15" sqref="A15"/>
    </sheetView>
  </sheetViews>
  <sheetFormatPr baseColWidth="10" defaultColWidth="9.140625" defaultRowHeight="15" x14ac:dyDescent="0.25"/>
  <sheetData>
    <row r="1" spans="1:20" x14ac:dyDescent="0.25">
      <c r="H1">
        <f>G4*u</f>
        <v>152.8370379172583</v>
      </c>
      <c r="J1" t="s">
        <v>0</v>
      </c>
      <c r="K1" t="s">
        <v>1</v>
      </c>
      <c r="N1" s="1" t="s">
        <v>2</v>
      </c>
    </row>
    <row r="2" spans="1:20" x14ac:dyDescent="0.25">
      <c r="A2" t="s">
        <v>3</v>
      </c>
      <c r="B2">
        <v>2</v>
      </c>
      <c r="D2" t="s">
        <v>4</v>
      </c>
      <c r="E2">
        <f>(RR*(((1-pr)*(RR-d))^(-1/gamma)-(pr*(u-RR))^(-1/gamma)))/((u-RR)*(pr*(u-RR))^(-1/gamma)+(RR-d)*((1-pr)*(RR-d))^(-1/gamma))</f>
        <v>0.4999996706577437</v>
      </c>
      <c r="H2">
        <f>G5*RR</f>
        <v>80.754823923061437</v>
      </c>
      <c r="K2" t="s">
        <v>5</v>
      </c>
    </row>
    <row r="3" spans="1:20" x14ac:dyDescent="0.25">
      <c r="A3" t="s">
        <v>6</v>
      </c>
      <c r="B3">
        <f>1/u</f>
        <v>0.5</v>
      </c>
      <c r="H3" s="2">
        <f>SUM(H1:H2)</f>
        <v>233.59186184031972</v>
      </c>
      <c r="J3">
        <f>H3^(1-gamma)/(1-gamma)</f>
        <v>17.252251112311825</v>
      </c>
      <c r="K3">
        <f>J3*pr^2</f>
        <v>4.6650087007691177</v>
      </c>
    </row>
    <row r="4" spans="1:20" x14ac:dyDescent="0.25">
      <c r="A4" t="s">
        <v>7</v>
      </c>
      <c r="B4">
        <v>1.056742771774289</v>
      </c>
      <c r="F4">
        <f>E7*u</f>
        <v>100</v>
      </c>
      <c r="G4">
        <f>F6*E2</f>
        <v>76.41851895862915</v>
      </c>
    </row>
    <row r="5" spans="1:20" x14ac:dyDescent="0.25">
      <c r="A5" t="s">
        <v>8</v>
      </c>
      <c r="B5">
        <v>0.52</v>
      </c>
      <c r="F5">
        <f>E8*RR</f>
        <v>52.837138588714453</v>
      </c>
      <c r="G5">
        <f>F6*(1-E2)</f>
        <v>76.418619630085303</v>
      </c>
      <c r="H5">
        <f>G4*d</f>
        <v>38.209259479314575</v>
      </c>
    </row>
    <row r="6" spans="1:20" x14ac:dyDescent="0.25">
      <c r="A6" t="s">
        <v>9</v>
      </c>
      <c r="B6">
        <v>0.9</v>
      </c>
      <c r="F6" s="2">
        <f>SUM(F4:F5)</f>
        <v>152.83713858871445</v>
      </c>
      <c r="G6">
        <f>SUM(G4:G5)</f>
        <v>152.83713858871445</v>
      </c>
      <c r="H6">
        <f>G5*RR</f>
        <v>80.754823923061437</v>
      </c>
    </row>
    <row r="7" spans="1:20" x14ac:dyDescent="0.25">
      <c r="A7" t="s">
        <v>10</v>
      </c>
      <c r="B7">
        <v>100</v>
      </c>
      <c r="D7" t="s">
        <v>11</v>
      </c>
      <c r="E7">
        <v>50</v>
      </c>
      <c r="H7" s="2">
        <f>SUM(H5:H6)</f>
        <v>118.96408340237602</v>
      </c>
      <c r="S7" t="s">
        <v>12</v>
      </c>
      <c r="T7" t="s">
        <v>13</v>
      </c>
    </row>
    <row r="8" spans="1:20" x14ac:dyDescent="0.25">
      <c r="D8" t="s">
        <v>14</v>
      </c>
      <c r="E8">
        <v>50</v>
      </c>
      <c r="H8">
        <f>G9*u</f>
        <v>77.837087318596758</v>
      </c>
      <c r="R8">
        <f>LN(F18/E19)</f>
        <v>0.69314718055994529</v>
      </c>
      <c r="S8">
        <f>(F18-E19)/E19</f>
        <v>1</v>
      </c>
      <c r="T8">
        <f>(S8-$S$10)^2*pr</f>
        <v>0.26956799999999997</v>
      </c>
    </row>
    <row r="9" spans="1:20" x14ac:dyDescent="0.25">
      <c r="F9">
        <f>E7*d</f>
        <v>25</v>
      </c>
      <c r="G9">
        <f>F11*E2</f>
        <v>38.918543659298379</v>
      </c>
      <c r="H9">
        <f>G10*RR</f>
        <v>41.126943879271941</v>
      </c>
      <c r="R9">
        <f>LN(F20/E19)</f>
        <v>-0.69314718055994529</v>
      </c>
      <c r="S9">
        <f>(F20-E19)/E19</f>
        <v>-0.5</v>
      </c>
      <c r="T9">
        <f>(S9-S10)^2*(1-pr)</f>
        <v>0.29203200000000001</v>
      </c>
    </row>
    <row r="10" spans="1:20" x14ac:dyDescent="0.25">
      <c r="F10">
        <f>E8*RR</f>
        <v>52.837138588714453</v>
      </c>
      <c r="G10">
        <f>F11*(1-E2)</f>
        <v>38.918594929416081</v>
      </c>
      <c r="H10" s="2">
        <f>SUM(H8:H9)</f>
        <v>118.96403119786871</v>
      </c>
      <c r="J10">
        <f>H10^(1-gamma)/(1-gamma)</f>
        <v>16.12655370521863</v>
      </c>
      <c r="K10">
        <f>J10*2*pr*(1-pr)</f>
        <v>8.0503756096451387</v>
      </c>
      <c r="R10">
        <f>R8*pr+R9*(1-pr)</f>
        <v>2.7725887222397883E-2</v>
      </c>
      <c r="S10">
        <f>S8*pr+S9*(1-pr)</f>
        <v>0.28000000000000003</v>
      </c>
      <c r="T10">
        <f>T8+T9</f>
        <v>0.56159999999999999</v>
      </c>
    </row>
    <row r="11" spans="1:20" x14ac:dyDescent="0.25">
      <c r="F11" s="2">
        <f>SUM(F9:F10)</f>
        <v>77.837138588714453</v>
      </c>
      <c r="G11">
        <f>SUM(G9:G10)</f>
        <v>77.837138588714453</v>
      </c>
    </row>
    <row r="12" spans="1:20" x14ac:dyDescent="0.25">
      <c r="H12">
        <f>G9*d</f>
        <v>19.45927182964919</v>
      </c>
      <c r="R12" t="s">
        <v>15</v>
      </c>
      <c r="T12">
        <f>(S10-RR+1)/(T10*gamma)</f>
        <v>0.44170866616356252</v>
      </c>
    </row>
    <row r="13" spans="1:20" x14ac:dyDescent="0.25">
      <c r="H13">
        <f>G10*RR</f>
        <v>41.126943879271941</v>
      </c>
    </row>
    <row r="14" spans="1:20" x14ac:dyDescent="0.25">
      <c r="H14" s="2">
        <f>SUM(H12:H13)</f>
        <v>60.586215708921131</v>
      </c>
      <c r="J14">
        <f>H14^(1-gamma)/(1-gamma)</f>
        <v>15.074307933882677</v>
      </c>
      <c r="K14">
        <f>J14*(1-pr)^2</f>
        <v>3.4731205479665688</v>
      </c>
    </row>
    <row r="15" spans="1:20" x14ac:dyDescent="0.25">
      <c r="A15" t="s">
        <v>34</v>
      </c>
      <c r="K15" s="2">
        <f>SUM(K3:K14)</f>
        <v>16.188504858380824</v>
      </c>
      <c r="M15" t="s">
        <v>16</v>
      </c>
      <c r="N15">
        <f>((1-gamma)*K15)^(1/(1-gamma))</f>
        <v>123.61392584486561</v>
      </c>
    </row>
    <row r="17" spans="1:14" x14ac:dyDescent="0.25">
      <c r="G17">
        <f>F18*u</f>
        <v>400</v>
      </c>
      <c r="H17">
        <f>G17^(1-gamma)/(1-gamma)</f>
        <v>18.205642030260805</v>
      </c>
      <c r="J17">
        <f>H17*pr^2</f>
        <v>4.9228056049825222</v>
      </c>
    </row>
    <row r="18" spans="1:14" x14ac:dyDescent="0.25">
      <c r="F18">
        <f>E19*u</f>
        <v>200</v>
      </c>
    </row>
    <row r="19" spans="1:14" x14ac:dyDescent="0.25">
      <c r="A19" t="s">
        <v>30</v>
      </c>
      <c r="C19" t="s">
        <v>33</v>
      </c>
      <c r="E19">
        <v>100</v>
      </c>
      <c r="G19">
        <f>F20*u</f>
        <v>100</v>
      </c>
      <c r="H19">
        <f>G19^(1-gamma)/(1-gamma)</f>
        <v>15.848931924611136</v>
      </c>
      <c r="J19">
        <f>H19*2*pr*(1-pr)</f>
        <v>7.9117868167658791</v>
      </c>
    </row>
    <row r="20" spans="1:14" x14ac:dyDescent="0.25">
      <c r="F20">
        <f>E19*d</f>
        <v>50</v>
      </c>
    </row>
    <row r="21" spans="1:14" x14ac:dyDescent="0.25">
      <c r="G21">
        <f>F20*d</f>
        <v>25</v>
      </c>
      <c r="H21">
        <f>G21^(1-gamma)/(1-gamma)</f>
        <v>13.797296614612149</v>
      </c>
      <c r="J21">
        <f>H21*(1-pr)^2</f>
        <v>3.1788971400066393</v>
      </c>
    </row>
    <row r="22" spans="1:14" x14ac:dyDescent="0.25">
      <c r="K22" s="2">
        <f>SUM(J17:J21)</f>
        <v>16.013489561755041</v>
      </c>
      <c r="M22" t="s">
        <v>16</v>
      </c>
      <c r="N22">
        <f>((1-gamma)*K22)^(1/(1-gamma))</f>
        <v>110.88168328661629</v>
      </c>
    </row>
    <row r="25" spans="1:14" x14ac:dyDescent="0.25">
      <c r="A25" t="s">
        <v>29</v>
      </c>
      <c r="C25" t="s">
        <v>32</v>
      </c>
      <c r="E25">
        <v>100</v>
      </c>
      <c r="F25">
        <f>E25*RR</f>
        <v>105.67427717742891</v>
      </c>
      <c r="G25">
        <f>F25*RR</f>
        <v>111.67052856972072</v>
      </c>
      <c r="K25" s="2">
        <f>G25^(1-gamma)/(1-gamma)</f>
        <v>16.024845725885825</v>
      </c>
      <c r="M25" t="s">
        <v>16</v>
      </c>
      <c r="N25">
        <f>((1-gamma)*K25)^(1/(1-gamma))</f>
        <v>111.67052856972062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565EC-C76C-40FF-A848-096973513FE0}">
  <dimension ref="A2:M16"/>
  <sheetViews>
    <sheetView workbookViewId="0">
      <selection activeCell="C22" sqref="C22"/>
    </sheetView>
  </sheetViews>
  <sheetFormatPr baseColWidth="10" defaultColWidth="9.140625" defaultRowHeight="15" x14ac:dyDescent="0.25"/>
  <sheetData>
    <row r="2" spans="1:13" x14ac:dyDescent="0.25">
      <c r="G2">
        <f>F5*u</f>
        <v>199.99986826309748</v>
      </c>
      <c r="I2" t="s">
        <v>0</v>
      </c>
      <c r="J2" t="s">
        <v>1</v>
      </c>
      <c r="M2" s="1"/>
    </row>
    <row r="3" spans="1:13" x14ac:dyDescent="0.25">
      <c r="A3" t="s">
        <v>3</v>
      </c>
      <c r="B3">
        <v>2</v>
      </c>
      <c r="D3" t="s">
        <v>4</v>
      </c>
      <c r="E3">
        <f>(RR*(((1-pr)*(RR-d))^(-1/gamma)-(pr*(u-RR))^(-1/gamma)))/((u-RR)*(pr*(u-RR))^(-1/gamma)+(RR-d)*((1-pr)*(RR-d))^(-1/gamma))</f>
        <v>0.4999996706577437</v>
      </c>
      <c r="G3">
        <f>F6*RR</f>
        <v>55.835301062684195</v>
      </c>
      <c r="J3" t="s">
        <v>5</v>
      </c>
    </row>
    <row r="4" spans="1:13" x14ac:dyDescent="0.25">
      <c r="A4" t="s">
        <v>6</v>
      </c>
      <c r="B4">
        <f>1/u</f>
        <v>0.5</v>
      </c>
      <c r="G4" s="2">
        <f>SUM(G2:G3)</f>
        <v>255.83516932578169</v>
      </c>
      <c r="I4">
        <f>G4^(1-gamma)/(1-gamma)</f>
        <v>17.409889898506524</v>
      </c>
      <c r="J4">
        <f>I4*pr^2</f>
        <v>4.7076342285561648</v>
      </c>
    </row>
    <row r="5" spans="1:13" x14ac:dyDescent="0.25">
      <c r="A5" t="s">
        <v>7</v>
      </c>
      <c r="B5">
        <v>1.05</v>
      </c>
      <c r="F5">
        <f>E8*u</f>
        <v>99.999934131548741</v>
      </c>
    </row>
    <row r="6" spans="1:13" x14ac:dyDescent="0.25">
      <c r="A6" t="s">
        <v>8</v>
      </c>
      <c r="B6">
        <v>0.52</v>
      </c>
      <c r="F6">
        <f>E9*RR</f>
        <v>52.837173391719332</v>
      </c>
      <c r="G6">
        <f>F5*d</f>
        <v>49.999967065774371</v>
      </c>
    </row>
    <row r="7" spans="1:13" x14ac:dyDescent="0.25">
      <c r="A7" t="s">
        <v>9</v>
      </c>
      <c r="B7">
        <f>gamma</f>
        <v>0.9</v>
      </c>
      <c r="F7" s="2">
        <f>SUM(F5:F6)</f>
        <v>152.83710752326806</v>
      </c>
      <c r="G7">
        <f>F6*RR</f>
        <v>55.835301062684195</v>
      </c>
    </row>
    <row r="8" spans="1:13" x14ac:dyDescent="0.25">
      <c r="A8" t="s">
        <v>10</v>
      </c>
      <c r="B8">
        <v>100</v>
      </c>
      <c r="D8" t="s">
        <v>11</v>
      </c>
      <c r="E8">
        <f>W*E3</f>
        <v>49.999967065774371</v>
      </c>
      <c r="G8" s="2">
        <f>SUM(G6:G7)</f>
        <v>105.83526812845857</v>
      </c>
    </row>
    <row r="9" spans="1:13" x14ac:dyDescent="0.25">
      <c r="D9" t="s">
        <v>14</v>
      </c>
      <c r="E9">
        <f>W*(1-E3)</f>
        <v>50.000032934225636</v>
      </c>
      <c r="G9">
        <f>F10*u</f>
        <v>49.999967065774371</v>
      </c>
    </row>
    <row r="10" spans="1:13" x14ac:dyDescent="0.25">
      <c r="F10">
        <f>E8*d</f>
        <v>24.999983532887185</v>
      </c>
      <c r="G10">
        <f>F11*RR</f>
        <v>55.835301062684195</v>
      </c>
    </row>
    <row r="11" spans="1:13" x14ac:dyDescent="0.25">
      <c r="F11">
        <f>E9*RR</f>
        <v>52.837173391719332</v>
      </c>
      <c r="G11" s="2">
        <f>SUM(G9:G10)</f>
        <v>105.83526812845857</v>
      </c>
      <c r="I11">
        <f>G11^(1-gamma)/(1-gamma)</f>
        <v>15.93907233070469</v>
      </c>
      <c r="J11">
        <f>I11*2*pr*(1-pr)</f>
        <v>7.9567849074877817</v>
      </c>
    </row>
    <row r="12" spans="1:13" x14ac:dyDescent="0.25">
      <c r="F12" s="2">
        <f>SUM(F10:F11)</f>
        <v>77.837156924606518</v>
      </c>
    </row>
    <row r="13" spans="1:13" x14ac:dyDescent="0.25">
      <c r="G13">
        <f>F10*d</f>
        <v>12.499991766443593</v>
      </c>
    </row>
    <row r="14" spans="1:13" x14ac:dyDescent="0.25">
      <c r="G14">
        <f>F11*RR</f>
        <v>55.835301062684195</v>
      </c>
    </row>
    <row r="15" spans="1:13" x14ac:dyDescent="0.25">
      <c r="G15" s="2">
        <f>SUM(G13:G14)</f>
        <v>68.335292829127781</v>
      </c>
      <c r="I15">
        <f>G15^(1-gamma)/(1-gamma)</f>
        <v>15.256836986290535</v>
      </c>
      <c r="J15">
        <f>I15*(1-pr)^2</f>
        <v>3.5151752416413391</v>
      </c>
    </row>
    <row r="16" spans="1:13" x14ac:dyDescent="0.25">
      <c r="A16" t="s">
        <v>31</v>
      </c>
      <c r="J16" s="2">
        <f>SUM(J4:J15)</f>
        <v>16.179594377685284</v>
      </c>
      <c r="L16" t="s">
        <v>16</v>
      </c>
      <c r="M16">
        <f>((1-gamma)*J16)^(1/(1-gamma))</f>
        <v>122.93521257584649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D5F9C-0683-4EFA-A431-E15DD499714B}">
  <dimension ref="A3:J16"/>
  <sheetViews>
    <sheetView tabSelected="1" workbookViewId="0">
      <selection activeCell="F37" sqref="F37"/>
    </sheetView>
  </sheetViews>
  <sheetFormatPr baseColWidth="10" defaultColWidth="9.140625" defaultRowHeight="15" x14ac:dyDescent="0.25"/>
  <cols>
    <col min="1" max="1" width="25.5703125" customWidth="1"/>
    <col min="6" max="6" width="9.28515625" bestFit="1" customWidth="1"/>
    <col min="8" max="8" width="11.42578125" customWidth="1"/>
    <col min="9" max="9" width="12.28515625" customWidth="1"/>
    <col min="10" max="10" width="12" customWidth="1"/>
  </cols>
  <sheetData>
    <row r="3" spans="1:10" x14ac:dyDescent="0.25">
      <c r="F3" t="s">
        <v>17</v>
      </c>
      <c r="H3" s="4" t="s">
        <v>18</v>
      </c>
      <c r="I3" s="4"/>
      <c r="J3" s="4"/>
    </row>
    <row r="4" spans="1:10" x14ac:dyDescent="0.25">
      <c r="H4" t="s">
        <v>19</v>
      </c>
      <c r="I4" t="s">
        <v>20</v>
      </c>
      <c r="J4" t="s">
        <v>21</v>
      </c>
    </row>
    <row r="5" spans="1:10" x14ac:dyDescent="0.25">
      <c r="A5" t="s">
        <v>22</v>
      </c>
      <c r="F5" s="3">
        <v>-100</v>
      </c>
      <c r="H5" s="3">
        <f>b_c_e!H3</f>
        <v>233.59186184031972</v>
      </c>
      <c r="I5" s="3">
        <f>b_c_e!H7</f>
        <v>118.96408340237602</v>
      </c>
      <c r="J5" s="3">
        <f>b_c_e!H14</f>
        <v>60.586215708921131</v>
      </c>
    </row>
    <row r="6" spans="1:10" x14ac:dyDescent="0.25">
      <c r="F6" s="3"/>
    </row>
    <row r="7" spans="1:10" x14ac:dyDescent="0.25">
      <c r="A7" t="s">
        <v>23</v>
      </c>
      <c r="F7" s="3">
        <v>-100</v>
      </c>
      <c r="H7" s="3">
        <f>d!G4</f>
        <v>255.83516932578169</v>
      </c>
      <c r="I7" s="3">
        <f>d!G8</f>
        <v>105.83526812845857</v>
      </c>
      <c r="J7" s="3">
        <f>d!G15</f>
        <v>68.335292829127781</v>
      </c>
    </row>
    <row r="8" spans="1:10" x14ac:dyDescent="0.25">
      <c r="A8" t="s">
        <v>24</v>
      </c>
      <c r="F8" s="3">
        <f>-I8/RR^2</f>
        <v>-11.756741408921128</v>
      </c>
      <c r="H8" s="3">
        <f>I8</f>
        <v>13.128815273917454</v>
      </c>
      <c r="I8" s="3">
        <f>I5-I7</f>
        <v>13.128815273917454</v>
      </c>
      <c r="J8" s="3">
        <f>I8</f>
        <v>13.128815273917454</v>
      </c>
    </row>
    <row r="9" spans="1:10" x14ac:dyDescent="0.25">
      <c r="A9" t="s">
        <v>25</v>
      </c>
      <c r="E9" s="3">
        <f>H5-(H7+H8-H5)</f>
        <v>198.21973908094031</v>
      </c>
      <c r="F9" s="3">
        <f>-1*(B16)^2*H9/RR^2</f>
        <v>4.3636429548462043</v>
      </c>
      <c r="H9" s="3">
        <f>-(H5-E9)</f>
        <v>-35.372122759379408</v>
      </c>
      <c r="I9">
        <v>0</v>
      </c>
      <c r="J9">
        <v>0</v>
      </c>
    </row>
    <row r="10" spans="1:10" x14ac:dyDescent="0.25">
      <c r="A10" t="s">
        <v>26</v>
      </c>
      <c r="E10" s="3">
        <f>2*J7+J8-J5</f>
        <v>89.21318522325187</v>
      </c>
      <c r="F10" s="3">
        <f>-1*(1-B16)^2*J10/RR^2</f>
        <v>7.3930875428969083</v>
      </c>
      <c r="H10">
        <v>0</v>
      </c>
      <c r="I10">
        <v>0</v>
      </c>
      <c r="J10" s="3">
        <f>-(E10-J7)</f>
        <v>-20.877892394124089</v>
      </c>
    </row>
    <row r="11" spans="1:10" x14ac:dyDescent="0.25">
      <c r="A11" t="s">
        <v>27</v>
      </c>
      <c r="F11" s="3">
        <f>SUM(F7:F10)</f>
        <v>-100.00001091117802</v>
      </c>
      <c r="G11" s="3"/>
      <c r="H11" s="3">
        <f t="shared" ref="H11:J11" si="0">SUM(H7:H10)</f>
        <v>233.59186184031972</v>
      </c>
      <c r="I11" s="3">
        <f t="shared" si="0"/>
        <v>118.96408340237602</v>
      </c>
      <c r="J11" s="3">
        <f t="shared" si="0"/>
        <v>60.586215708921145</v>
      </c>
    </row>
    <row r="16" spans="1:10" x14ac:dyDescent="0.25">
      <c r="A16" t="s">
        <v>28</v>
      </c>
      <c r="B16">
        <f>(RR-d)/(u-d)</f>
        <v>0.37116184784952599</v>
      </c>
    </row>
  </sheetData>
  <mergeCells count="1">
    <mergeCell ref="H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6</vt:i4>
      </vt:variant>
    </vt:vector>
  </HeadingPairs>
  <TitlesOfParts>
    <vt:vector size="9" baseType="lpstr">
      <vt:lpstr>b_c_e</vt:lpstr>
      <vt:lpstr>d</vt:lpstr>
      <vt:lpstr>f</vt:lpstr>
      <vt:lpstr>d</vt:lpstr>
      <vt:lpstr>gamma</vt:lpstr>
      <vt:lpstr>pr</vt:lpstr>
      <vt:lpstr>RR</vt:lpstr>
      <vt:lpstr>u</vt:lpstr>
      <vt:lpstr>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Snorre Lindset</dc:creator>
  <cp:lastModifiedBy>Laila Bergsrønning Øyangen</cp:lastModifiedBy>
  <dcterms:created xsi:type="dcterms:W3CDTF">2023-08-24T07:57:57Z</dcterms:created>
  <dcterms:modified xsi:type="dcterms:W3CDTF">2024-01-22T13:35:07Z</dcterms:modified>
</cp:coreProperties>
</file>